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3725" firstSheet="1" activeTab="1"/>
  </bookViews>
  <sheets>
    <sheet name="Sheet1" sheetId="1" state="hidden" r:id="rId1"/>
    <sheet name="CAT Calculator" sheetId="2" r:id="rId2"/>
  </sheets>
  <definedNames>
    <definedName name="_xlnm.Print_Area" localSheetId="1">'CAT Calculator'!$B$1:$E$31</definedName>
    <definedName name="_xlnm.Print_Area" localSheetId="0">Sheet1!$B$1:$E$28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C12" i="2" s="1"/>
  <c r="C21" i="1"/>
  <c r="C20" i="1"/>
  <c r="C7" i="1"/>
  <c r="C22" i="1" s="1"/>
  <c r="C25" i="2" l="1"/>
  <c r="C18" i="1"/>
  <c r="C23" i="1" l="1"/>
  <c r="C24" i="1" s="1"/>
  <c r="C26" i="1" s="1"/>
  <c r="C27" i="1" s="1"/>
  <c r="C28" i="1" l="1"/>
  <c r="C7" i="2" l="1"/>
  <c r="C23" i="2"/>
  <c r="C26" i="2" s="1"/>
  <c r="C28" i="2" s="1"/>
  <c r="C29" i="2" s="1"/>
  <c r="C24" i="2"/>
</calcChain>
</file>

<file path=xl/sharedStrings.xml><?xml version="1.0" encoding="utf-8"?>
<sst xmlns="http://schemas.openxmlformats.org/spreadsheetml/2006/main" count="44" uniqueCount="28">
  <si>
    <t>Corporate Activity Tax Owed</t>
  </si>
  <si>
    <t>Plus Minimum $250</t>
  </si>
  <si>
    <t>Property Transferred to Oregon</t>
  </si>
  <si>
    <t>Does the Taxpayer:</t>
  </si>
  <si>
    <t>Greater of 35% of Cost of Good Sold or Labor Costs</t>
  </si>
  <si>
    <t>Have Oregon gross receipts greater than $1,000,000</t>
  </si>
  <si>
    <r>
      <t xml:space="preserve">For more information on how this new law will impact your business, contact Diana Strassmaier at </t>
    </r>
    <r>
      <rPr>
        <b/>
        <sz val="11"/>
        <color theme="1"/>
        <rFont val="Calibri"/>
        <family val="2"/>
        <scheme val="minor"/>
      </rPr>
      <t xml:space="preserve">dstrassmaier@aldrichadvisors.com </t>
    </r>
    <r>
      <rPr>
        <sz val="11"/>
        <color theme="1"/>
        <rFont val="Calibri"/>
        <family val="2"/>
        <scheme val="minor"/>
      </rPr>
      <t xml:space="preserve">or Seneca Steber at </t>
    </r>
    <r>
      <rPr>
        <b/>
        <sz val="11"/>
        <color theme="1"/>
        <rFont val="Calibri"/>
        <family val="2"/>
        <scheme val="minor"/>
      </rPr>
      <t>ssteber@aldrichadvisors.com</t>
    </r>
    <r>
      <rPr>
        <sz val="11"/>
        <color theme="1"/>
        <rFont val="Calibri"/>
        <family val="2"/>
        <scheme val="minor"/>
      </rPr>
      <t>.</t>
    </r>
  </si>
  <si>
    <t>Estimated Oregon Gross Receipts based on HB3427/HB2164</t>
  </si>
  <si>
    <r>
      <t>Estimated Total Cost Inputs</t>
    </r>
    <r>
      <rPr>
        <sz val="10"/>
        <color theme="1"/>
        <rFont val="Calibri"/>
        <family val="2"/>
        <scheme val="minor"/>
      </rPr>
      <t xml:space="preserve"> (cost of good sold in arriving at federal taxable income under the IRC)</t>
    </r>
  </si>
  <si>
    <t>Fair value of property transferred into Oregon for use in the entity's own business within</t>
  </si>
  <si>
    <r>
      <t>one year of being received/purchased outside of Oregon</t>
    </r>
    <r>
      <rPr>
        <sz val="10"/>
        <color theme="1"/>
        <rFont val="Calibri"/>
        <family val="2"/>
        <scheme val="minor"/>
      </rPr>
      <t xml:space="preserve"> (with intention of avoiding the CAT)</t>
    </r>
  </si>
  <si>
    <r>
      <t>Estimated Total Labor Cost</t>
    </r>
    <r>
      <rPr>
        <sz val="10"/>
        <color theme="1"/>
        <rFont val="Calibri"/>
        <family val="2"/>
        <scheme val="minor"/>
      </rPr>
      <t xml:space="preserve"> (Not to exceed $500,000 for any single employee)</t>
    </r>
  </si>
  <si>
    <t>Taxable Oregon Commercial Activity</t>
  </si>
  <si>
    <t>Effective CAT Rate</t>
  </si>
  <si>
    <t xml:space="preserve">15% of labor costs paid to subcontractors for the construction of single-family residential </t>
  </si>
  <si>
    <t>Oregon Enrolled House Bill 3427/2164 Corporate Activity Tax Calculation</t>
  </si>
  <si>
    <r>
      <t xml:space="preserve">Estimated Total US Sourced Gross Receipts </t>
    </r>
    <r>
      <rPr>
        <sz val="10"/>
        <color theme="1"/>
        <rFont val="Calibri"/>
        <family val="2"/>
        <scheme val="minor"/>
      </rPr>
      <t>(based on proposed HB 4009)</t>
    </r>
  </si>
  <si>
    <t>Commercial Activity Ratio (apportionment for subtraction based on proposed HB 4009)</t>
  </si>
  <si>
    <t>Corporate Activity Gross Receipts (net of $1M threshold)</t>
  </si>
  <si>
    <t>Effective CAT Rate if bill clients for estimated CAT</t>
  </si>
  <si>
    <t>Labor costs paid by general contractor to subcontractors for the construction of single-family residential  (eligible through 12/31/2025)</t>
  </si>
  <si>
    <t xml:space="preserve">Labor costs paid by General Contractor to subcontractors for the construction of single-family residential in Oregon </t>
  </si>
  <si>
    <r>
      <t xml:space="preserve">Exclusion from taxable commercial activity </t>
    </r>
    <r>
      <rPr>
        <sz val="9"/>
        <color theme="1"/>
        <rFont val="Calibri"/>
        <family val="2"/>
        <scheme val="minor"/>
      </rPr>
      <t>(15% of labor costs paid to subcontractors for the construction of single-family residential located in Oregon)</t>
    </r>
  </si>
  <si>
    <t>**Corporate Activity Tax Owed</t>
  </si>
  <si>
    <t>** If recovering the Corporate Activity Tax, it should be added to revenue (which will increase the tax owed)</t>
  </si>
  <si>
    <t>*Commercial Activity Ratio (apportionment for subtraction based on proposed HB 4009)</t>
  </si>
  <si>
    <t>PENDING FINAL RULES</t>
  </si>
  <si>
    <t>* Apportionment ratio calculation based on proposed legislation -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</si>
</sst>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.0000%"/>
    <numFmt numFmtId="167" formatCode="_(* #,##0.000_);_(* \(#,##0.000\);_(* &quot;-&quot;???_);_(@_)"/>
    <numFmt numFmtId="168" formatCode="_(* #,##0.000000_);_(* \(#,##0.00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E5E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FF6357"/>
      </left>
      <right/>
      <top style="medium">
        <color rgb="FFFF6357"/>
      </top>
      <bottom/>
      <diagonal/>
    </border>
    <border>
      <left/>
      <right/>
      <top style="medium">
        <color rgb="FFFF6357"/>
      </top>
      <bottom/>
      <diagonal/>
    </border>
    <border>
      <left/>
      <right style="medium">
        <color rgb="FFFF6357"/>
      </right>
      <top style="medium">
        <color rgb="FFFF6357"/>
      </top>
      <bottom/>
      <diagonal/>
    </border>
    <border>
      <left style="medium">
        <color rgb="FFFF6357"/>
      </left>
      <right/>
      <top/>
      <bottom/>
      <diagonal/>
    </border>
    <border>
      <left/>
      <right style="medium">
        <color rgb="FFFF6357"/>
      </right>
      <top/>
      <bottom/>
      <diagonal/>
    </border>
    <border>
      <left style="medium">
        <color rgb="FFFF6357"/>
      </left>
      <right/>
      <top/>
      <bottom style="medium">
        <color rgb="FFFF6357"/>
      </bottom>
      <diagonal/>
    </border>
    <border>
      <left/>
      <right/>
      <top/>
      <bottom style="medium">
        <color rgb="FFFF6357"/>
      </bottom>
      <diagonal/>
    </border>
    <border>
      <left/>
      <right style="medium">
        <color rgb="FFFF6357"/>
      </right>
      <top/>
      <bottom style="medium">
        <color rgb="FFFF6357"/>
      </bottom>
      <diagonal/>
    </border>
    <border>
      <left/>
      <right/>
      <top style="thin">
        <color rgb="FFFF6357"/>
      </top>
      <bottom style="double">
        <color rgb="FFFF6357"/>
      </bottom>
      <diagonal/>
    </border>
    <border>
      <left/>
      <right/>
      <top/>
      <bottom style="double">
        <color rgb="FFFF6357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43" fontId="0" fillId="0" borderId="0" xfId="1" applyFont="1"/>
    <xf numFmtId="0" fontId="0" fillId="0" borderId="0" xfId="0" applyBorder="1"/>
    <xf numFmtId="43" fontId="0" fillId="0" borderId="0" xfId="1" applyFont="1" applyBorder="1"/>
    <xf numFmtId="0" fontId="2" fillId="0" borderId="0" xfId="0" applyFont="1" applyBorder="1" applyAlignment="1">
      <alignment horizontal="center"/>
    </xf>
    <xf numFmtId="43" fontId="0" fillId="0" borderId="0" xfId="1" applyFont="1" applyFill="1" applyBorder="1"/>
    <xf numFmtId="164" fontId="0" fillId="0" borderId="0" xfId="2" applyNumberFormat="1" applyFont="1" applyFill="1" applyBorder="1"/>
    <xf numFmtId="165" fontId="0" fillId="0" borderId="0" xfId="1" applyNumberFormat="1" applyFont="1" applyBorder="1"/>
    <xf numFmtId="0" fontId="2" fillId="0" borderId="0" xfId="0" applyFont="1" applyBorder="1" applyAlignment="1"/>
    <xf numFmtId="165" fontId="0" fillId="0" borderId="0" xfId="1" applyNumberFormat="1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10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65" fontId="0" fillId="2" borderId="0" xfId="1" applyNumberFormat="1" applyFont="1" applyFill="1" applyBorder="1"/>
    <xf numFmtId="165" fontId="0" fillId="0" borderId="9" xfId="1" applyNumberFormat="1" applyFont="1" applyBorder="1"/>
    <xf numFmtId="165" fontId="0" fillId="0" borderId="10" xfId="1" applyNumberFormat="1" applyFont="1" applyBorder="1"/>
    <xf numFmtId="0" fontId="0" fillId="0" borderId="0" xfId="0" applyFont="1" applyBorder="1" applyAlignment="1">
      <alignment horizontal="center" vertical="center" wrapText="1"/>
    </xf>
    <xf numFmtId="164" fontId="0" fillId="0" borderId="0" xfId="2" applyNumberFormat="1" applyFont="1" applyBorder="1"/>
    <xf numFmtId="166" fontId="0" fillId="0" borderId="7" xfId="2" applyNumberFormat="1" applyFont="1" applyBorder="1"/>
    <xf numFmtId="0" fontId="0" fillId="3" borderId="0" xfId="0" applyFill="1"/>
    <xf numFmtId="0" fontId="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0" fillId="3" borderId="4" xfId="0" applyFont="1" applyFill="1" applyBorder="1"/>
    <xf numFmtId="165" fontId="0" fillId="3" borderId="0" xfId="1" applyNumberFormat="1" applyFont="1" applyFill="1" applyBorder="1"/>
    <xf numFmtId="0" fontId="0" fillId="3" borderId="0" xfId="0" applyFont="1" applyFill="1" applyBorder="1"/>
    <xf numFmtId="0" fontId="0" fillId="3" borderId="5" xfId="0" applyFont="1" applyFill="1" applyBorder="1"/>
    <xf numFmtId="0" fontId="0" fillId="3" borderId="0" xfId="0" applyFill="1" applyBorder="1"/>
    <xf numFmtId="164" fontId="0" fillId="3" borderId="0" xfId="2" applyNumberFormat="1" applyFont="1" applyFill="1" applyBorder="1"/>
    <xf numFmtId="43" fontId="0" fillId="3" borderId="0" xfId="1" applyFont="1" applyFill="1" applyBorder="1"/>
    <xf numFmtId="0" fontId="0" fillId="3" borderId="0" xfId="0" applyFont="1" applyFill="1" applyBorder="1" applyAlignment="1">
      <alignment horizontal="center"/>
    </xf>
    <xf numFmtId="165" fontId="0" fillId="3" borderId="10" xfId="1" applyNumberFormat="1" applyFont="1" applyFill="1" applyBorder="1"/>
    <xf numFmtId="10" fontId="0" fillId="3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/>
    <xf numFmtId="166" fontId="0" fillId="3" borderId="7" xfId="2" applyNumberFormat="1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43" fontId="0" fillId="3" borderId="0" xfId="1" applyFont="1" applyFill="1"/>
    <xf numFmtId="167" fontId="0" fillId="0" borderId="0" xfId="0" applyNumberFormat="1" applyBorder="1"/>
    <xf numFmtId="43" fontId="0" fillId="0" borderId="0" xfId="0" applyNumberFormat="1"/>
    <xf numFmtId="43" fontId="0" fillId="3" borderId="9" xfId="1" applyNumberFormat="1" applyFont="1" applyFill="1" applyBorder="1"/>
    <xf numFmtId="43" fontId="0" fillId="3" borderId="0" xfId="0" applyNumberFormat="1" applyFill="1"/>
    <xf numFmtId="165" fontId="0" fillId="3" borderId="0" xfId="0" applyNumberFormat="1" applyFill="1"/>
    <xf numFmtId="168" fontId="0" fillId="3" borderId="0" xfId="2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166" fontId="0" fillId="3" borderId="0" xfId="2" applyNumberFormat="1" applyFont="1" applyFill="1" applyBorder="1" applyAlignment="1">
      <alignment horizontal="left" wrapText="1"/>
    </xf>
    <xf numFmtId="166" fontId="0" fillId="3" borderId="5" xfId="2" applyNumberFormat="1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8E5E5"/>
      <color rgb="FFFF63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333375</xdr:rowOff>
    </xdr:from>
    <xdr:to>
      <xdr:col>3</xdr:col>
      <xdr:colOff>2152558</xdr:colOff>
      <xdr:row>0</xdr:row>
      <xdr:rowOff>895350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33375"/>
          <a:ext cx="3381283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333375</xdr:rowOff>
    </xdr:from>
    <xdr:to>
      <xdr:col>3</xdr:col>
      <xdr:colOff>2152558</xdr:colOff>
      <xdr:row>0</xdr:row>
      <xdr:rowOff>904875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0BE4E71-C288-42C1-B57A-6440929A6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333375"/>
          <a:ext cx="3381283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workbookViewId="0">
      <selection activeCell="G12" sqref="G12:I12"/>
    </sheetView>
  </sheetViews>
  <sheetFormatPr defaultRowHeight="15" x14ac:dyDescent="0.25"/>
  <cols>
    <col min="2" max="2" width="1.42578125" customWidth="1"/>
    <col min="3" max="3" width="18.42578125" customWidth="1"/>
    <col min="4" max="4" width="33" customWidth="1"/>
    <col min="5" max="5" width="46.5703125" customWidth="1"/>
    <col min="7" max="8" width="14.28515625" bestFit="1" customWidth="1"/>
    <col min="9" max="9" width="13.28515625" bestFit="1" customWidth="1"/>
  </cols>
  <sheetData>
    <row r="1" spans="2:9" ht="97.5" customHeight="1" thickBot="1" x14ac:dyDescent="0.3">
      <c r="E1" s="25" t="s">
        <v>6</v>
      </c>
    </row>
    <row r="2" spans="2:9" ht="15.75" x14ac:dyDescent="0.25">
      <c r="B2" s="54" t="s">
        <v>15</v>
      </c>
      <c r="C2" s="55"/>
      <c r="D2" s="55"/>
      <c r="E2" s="56"/>
      <c r="F2" s="8"/>
      <c r="G2" s="8"/>
      <c r="H2" s="8"/>
    </row>
    <row r="3" spans="2:9" ht="15.75" x14ac:dyDescent="0.25">
      <c r="B3" s="13"/>
      <c r="C3" s="4"/>
      <c r="D3" s="4"/>
      <c r="E3" s="14"/>
      <c r="F3" s="4"/>
      <c r="G3" s="4"/>
      <c r="H3" s="4"/>
    </row>
    <row r="4" spans="2:9" x14ac:dyDescent="0.25">
      <c r="B4" s="15"/>
      <c r="C4" s="22">
        <v>10000000</v>
      </c>
      <c r="D4" s="10" t="s">
        <v>7</v>
      </c>
      <c r="E4" s="16"/>
      <c r="F4" s="2"/>
      <c r="G4" s="2"/>
      <c r="H4" s="2"/>
    </row>
    <row r="5" spans="2:9" ht="8.25" customHeight="1" x14ac:dyDescent="0.25">
      <c r="B5" s="15"/>
      <c r="C5" s="6"/>
      <c r="D5" s="10"/>
      <c r="E5" s="16"/>
      <c r="F5" s="2"/>
      <c r="G5" s="2"/>
      <c r="H5" s="2"/>
    </row>
    <row r="6" spans="2:9" x14ac:dyDescent="0.25">
      <c r="B6" s="15"/>
      <c r="C6" s="22">
        <v>15000000</v>
      </c>
      <c r="D6" s="10" t="s">
        <v>16</v>
      </c>
      <c r="E6" s="16"/>
      <c r="F6" s="2"/>
      <c r="G6" s="2"/>
      <c r="H6" s="2"/>
    </row>
    <row r="7" spans="2:9" x14ac:dyDescent="0.25">
      <c r="B7" s="15"/>
      <c r="C7" s="6">
        <f>C4/C6</f>
        <v>0.66666666666666663</v>
      </c>
      <c r="D7" s="10" t="s">
        <v>17</v>
      </c>
      <c r="E7" s="16"/>
      <c r="F7" s="2"/>
      <c r="G7" s="2"/>
      <c r="H7" s="2"/>
    </row>
    <row r="8" spans="2:9" ht="8.25" customHeight="1" x14ac:dyDescent="0.25">
      <c r="B8" s="15"/>
      <c r="C8" s="6"/>
      <c r="D8" s="10"/>
      <c r="E8" s="16"/>
      <c r="F8" s="2"/>
      <c r="G8" s="2"/>
      <c r="H8" s="2"/>
    </row>
    <row r="9" spans="2:9" x14ac:dyDescent="0.25">
      <c r="B9" s="15"/>
      <c r="D9" s="11" t="s">
        <v>9</v>
      </c>
      <c r="E9" s="16"/>
      <c r="F9" s="2"/>
      <c r="G9" s="2"/>
      <c r="H9" s="2"/>
    </row>
    <row r="10" spans="2:9" x14ac:dyDescent="0.25">
      <c r="B10" s="15"/>
      <c r="C10" s="22">
        <v>0</v>
      </c>
      <c r="D10" s="11" t="s">
        <v>10</v>
      </c>
      <c r="E10" s="16"/>
      <c r="F10" s="2"/>
      <c r="G10" s="2"/>
      <c r="H10" s="2"/>
    </row>
    <row r="11" spans="2:9" x14ac:dyDescent="0.25">
      <c r="B11" s="15"/>
      <c r="C11" s="5"/>
      <c r="D11" s="10"/>
      <c r="E11" s="16"/>
      <c r="F11" s="2"/>
      <c r="G11" s="2"/>
      <c r="H11" s="2"/>
    </row>
    <row r="12" spans="2:9" x14ac:dyDescent="0.25">
      <c r="B12" s="15"/>
      <c r="C12" s="22">
        <v>8000000</v>
      </c>
      <c r="D12" s="10" t="s">
        <v>8</v>
      </c>
      <c r="E12" s="16"/>
      <c r="F12" s="2"/>
      <c r="G12" s="48"/>
      <c r="H12" s="48"/>
      <c r="I12" s="49"/>
    </row>
    <row r="13" spans="2:9" x14ac:dyDescent="0.25">
      <c r="B13" s="15"/>
      <c r="C13" s="22">
        <v>5000000</v>
      </c>
      <c r="D13" s="10" t="s">
        <v>11</v>
      </c>
      <c r="E13" s="16"/>
      <c r="F13" s="2"/>
      <c r="G13" s="2"/>
      <c r="H13" s="2"/>
    </row>
    <row r="14" spans="2:9" ht="7.5" customHeight="1" x14ac:dyDescent="0.25">
      <c r="B14" s="15"/>
      <c r="C14" s="9"/>
      <c r="D14" s="11"/>
      <c r="E14" s="16"/>
      <c r="F14" s="2"/>
      <c r="G14" s="2"/>
      <c r="H14" s="2"/>
    </row>
    <row r="15" spans="2:9" x14ac:dyDescent="0.25">
      <c r="B15" s="15"/>
      <c r="D15" s="57" t="s">
        <v>20</v>
      </c>
      <c r="E15" s="58"/>
      <c r="F15" s="2"/>
      <c r="G15" s="2"/>
      <c r="H15" s="2"/>
    </row>
    <row r="16" spans="2:9" x14ac:dyDescent="0.25">
      <c r="B16" s="15"/>
      <c r="C16" s="22">
        <v>300000</v>
      </c>
      <c r="D16" s="57"/>
      <c r="E16" s="58"/>
      <c r="F16" s="2"/>
      <c r="G16" s="2"/>
      <c r="H16" s="2"/>
    </row>
    <row r="17" spans="2:8" x14ac:dyDescent="0.25">
      <c r="B17" s="15"/>
      <c r="C17" s="10"/>
      <c r="D17" s="10" t="s">
        <v>3</v>
      </c>
      <c r="E17" s="16"/>
      <c r="F17" s="2"/>
      <c r="G17" s="2"/>
      <c r="H17" s="2"/>
    </row>
    <row r="18" spans="2:8" x14ac:dyDescent="0.25">
      <c r="B18" s="15"/>
      <c r="C18" s="12" t="str">
        <f>+IF(C4&gt;1000000,"Yes","No")</f>
        <v>Yes</v>
      </c>
      <c r="D18" s="10" t="s">
        <v>5</v>
      </c>
      <c r="E18" s="16"/>
      <c r="F18" s="2"/>
      <c r="G18" s="2"/>
      <c r="H18" s="2"/>
    </row>
    <row r="19" spans="2:8" x14ac:dyDescent="0.25">
      <c r="B19" s="15"/>
      <c r="C19" s="10"/>
      <c r="D19" s="10"/>
      <c r="E19" s="16"/>
      <c r="F19" s="2"/>
      <c r="G19" s="2"/>
      <c r="H19" s="2"/>
    </row>
    <row r="20" spans="2:8" x14ac:dyDescent="0.25">
      <c r="B20" s="15"/>
      <c r="C20" s="7">
        <f>+IF(C18="Yes",C4-1000000,0)</f>
        <v>9000000</v>
      </c>
      <c r="D20" s="10" t="s">
        <v>18</v>
      </c>
      <c r="E20" s="16"/>
      <c r="F20" s="2"/>
      <c r="G20" s="2"/>
      <c r="H20" s="2"/>
    </row>
    <row r="21" spans="2:8" x14ac:dyDescent="0.25">
      <c r="B21" s="15"/>
      <c r="C21" s="7">
        <f>+IF(C18="Yes",IF(C12&gt;C13,((C12*C7)*-0.35),((C13*C7)*-0.35)),0)</f>
        <v>-1866666.6666666665</v>
      </c>
      <c r="D21" s="10" t="s">
        <v>4</v>
      </c>
      <c r="E21" s="16"/>
      <c r="F21" s="2"/>
      <c r="G21" s="2"/>
      <c r="H21" s="2"/>
    </row>
    <row r="22" spans="2:8" x14ac:dyDescent="0.25">
      <c r="B22" s="15"/>
      <c r="C22" s="7">
        <f>+IF(C18="Yes",(C16*C7)*-0.15,0)</f>
        <v>-30000</v>
      </c>
      <c r="D22" s="11" t="s">
        <v>14</v>
      </c>
      <c r="E22" s="16"/>
      <c r="F22" s="2"/>
      <c r="G22" s="2"/>
      <c r="H22" s="2"/>
    </row>
    <row r="23" spans="2:8" x14ac:dyDescent="0.25">
      <c r="B23" s="15"/>
      <c r="C23" s="7">
        <f>+IF(C18="Yes",C10,0)</f>
        <v>0</v>
      </c>
      <c r="D23" s="11" t="s">
        <v>2</v>
      </c>
      <c r="E23" s="16"/>
      <c r="F23" s="2"/>
      <c r="G23" s="2"/>
      <c r="H23" s="2"/>
    </row>
    <row r="24" spans="2:8" ht="15.75" thickBot="1" x14ac:dyDescent="0.3">
      <c r="B24" s="15"/>
      <c r="C24" s="23">
        <f>MAX(C20+C21+C22,C20*0.05)+C23</f>
        <v>7103333.333333334</v>
      </c>
      <c r="D24" s="10" t="s">
        <v>12</v>
      </c>
      <c r="E24" s="16"/>
      <c r="F24" s="2"/>
      <c r="G24" s="2"/>
      <c r="H24" s="2"/>
    </row>
    <row r="25" spans="2:8" ht="15.75" thickTop="1" x14ac:dyDescent="0.25">
      <c r="B25" s="15"/>
      <c r="C25" s="7"/>
      <c r="D25" s="10"/>
      <c r="E25" s="16"/>
      <c r="F25" s="2"/>
      <c r="G25" s="2"/>
      <c r="H25" s="2"/>
    </row>
    <row r="26" spans="2:8" ht="15.75" thickBot="1" x14ac:dyDescent="0.3">
      <c r="B26" s="15"/>
      <c r="C26" s="24">
        <f>IF(C24=0,0,(C24*E26)+250)</f>
        <v>40739.000000000007</v>
      </c>
      <c r="D26" s="10" t="s">
        <v>0</v>
      </c>
      <c r="E26" s="17">
        <v>5.7000000000000002E-3</v>
      </c>
      <c r="F26" s="2"/>
      <c r="G26" s="2"/>
      <c r="H26" s="2"/>
    </row>
    <row r="27" spans="2:8" ht="15.75" thickTop="1" x14ac:dyDescent="0.25">
      <c r="B27" s="15"/>
      <c r="C27" s="26">
        <f>+C26/C4</f>
        <v>4.073900000000001E-3</v>
      </c>
      <c r="D27" s="11" t="s">
        <v>13</v>
      </c>
      <c r="E27" s="18" t="s">
        <v>1</v>
      </c>
      <c r="F27" s="2"/>
      <c r="G27" s="2"/>
      <c r="H27" s="2"/>
    </row>
    <row r="28" spans="2:8" ht="15.75" thickBot="1" x14ac:dyDescent="0.3">
      <c r="B28" s="19"/>
      <c r="C28" s="27">
        <f>((C26+C4+C21+C22+C23)*E26+250)/C4</f>
        <v>4.6671212300000006E-3</v>
      </c>
      <c r="D28" s="20" t="s">
        <v>19</v>
      </c>
      <c r="E28" s="21"/>
      <c r="F28" s="2"/>
      <c r="G28" s="2"/>
      <c r="H28" s="2"/>
    </row>
    <row r="29" spans="2:8" x14ac:dyDescent="0.25">
      <c r="B29" s="2"/>
      <c r="C29" s="7"/>
      <c r="D29" s="2"/>
      <c r="E29" s="2"/>
    </row>
    <row r="30" spans="2:8" x14ac:dyDescent="0.25">
      <c r="B30" s="2"/>
      <c r="C30" s="3"/>
      <c r="D30" s="2"/>
      <c r="E30" s="2"/>
    </row>
    <row r="31" spans="2:8" x14ac:dyDescent="0.25">
      <c r="C31" s="1"/>
    </row>
    <row r="32" spans="2:8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</sheetData>
  <mergeCells count="2">
    <mergeCell ref="B2:E2"/>
    <mergeCell ref="D15:E16"/>
  </mergeCells>
  <printOptions horizontalCentered="1"/>
  <pageMargins left="0.25" right="0.25" top="0.75" bottom="0.75" header="0.3" footer="0.3"/>
  <pageSetup orientation="portrait" horizontalDpi="1200" verticalDpi="1200" r:id="rId1"/>
  <headerFooter>
    <oddFooter>&amp;R&amp;8Version 1.4 10/28/2019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abSelected="1" zoomScaleNormal="100" workbookViewId="0">
      <selection activeCell="C31" sqref="C31"/>
    </sheetView>
  </sheetViews>
  <sheetFormatPr defaultRowHeight="15" x14ac:dyDescent="0.25"/>
  <cols>
    <col min="1" max="1" width="9.140625" style="28"/>
    <col min="2" max="2" width="1.42578125" style="28" customWidth="1"/>
    <col min="3" max="3" width="18.42578125" style="28" customWidth="1"/>
    <col min="4" max="4" width="33" style="28" customWidth="1"/>
    <col min="5" max="5" width="46.5703125" style="28" customWidth="1"/>
    <col min="6" max="8" width="9.140625" style="28"/>
    <col min="9" max="9" width="10.5703125" style="28" bestFit="1" customWidth="1"/>
    <col min="10" max="16384" width="9.140625" style="28"/>
  </cols>
  <sheetData>
    <row r="1" spans="2:9" ht="97.5" customHeight="1" thickBot="1" x14ac:dyDescent="0.3">
      <c r="E1" s="29" t="s">
        <v>6</v>
      </c>
    </row>
    <row r="2" spans="2:9" ht="15.75" x14ac:dyDescent="0.25">
      <c r="B2" s="59" t="s">
        <v>15</v>
      </c>
      <c r="C2" s="60"/>
      <c r="D2" s="60"/>
      <c r="E2" s="61"/>
      <c r="F2" s="30"/>
      <c r="G2" s="30"/>
      <c r="H2" s="30"/>
    </row>
    <row r="3" spans="2:9" ht="26.25" x14ac:dyDescent="0.4">
      <c r="B3" s="66" t="s">
        <v>26</v>
      </c>
      <c r="C3" s="67"/>
      <c r="D3" s="67"/>
      <c r="E3" s="68"/>
      <c r="F3" s="31"/>
      <c r="G3" s="31"/>
      <c r="H3" s="31"/>
    </row>
    <row r="4" spans="2:9" x14ac:dyDescent="0.25">
      <c r="B4" s="32"/>
      <c r="C4" s="22">
        <v>10000000</v>
      </c>
      <c r="D4" s="34" t="s">
        <v>7</v>
      </c>
      <c r="E4" s="35"/>
      <c r="F4" s="36"/>
      <c r="G4" s="36"/>
      <c r="H4" s="36"/>
    </row>
    <row r="5" spans="2:9" x14ac:dyDescent="0.25">
      <c r="B5" s="32"/>
      <c r="C5" s="33"/>
      <c r="D5" s="34"/>
      <c r="E5" s="35"/>
      <c r="F5" s="36"/>
      <c r="G5" s="36"/>
      <c r="H5" s="36"/>
    </row>
    <row r="6" spans="2:9" x14ac:dyDescent="0.25">
      <c r="B6" s="32"/>
      <c r="C6" s="22">
        <v>70000000</v>
      </c>
      <c r="D6" s="34" t="s">
        <v>16</v>
      </c>
      <c r="E6" s="35"/>
      <c r="F6" s="36"/>
      <c r="G6" s="36"/>
      <c r="H6" s="36"/>
    </row>
    <row r="7" spans="2:9" x14ac:dyDescent="0.25">
      <c r="B7" s="32"/>
      <c r="C7" s="53">
        <f>(C4+C5+C12)/(C6+C5+C12)</f>
        <v>0.13731128684399713</v>
      </c>
      <c r="D7" s="34" t="s">
        <v>25</v>
      </c>
      <c r="E7" s="35"/>
      <c r="F7" s="36"/>
      <c r="G7" s="36"/>
      <c r="H7" s="36"/>
    </row>
    <row r="8" spans="2:9" ht="6.75" customHeight="1" x14ac:dyDescent="0.25">
      <c r="B8" s="32"/>
      <c r="C8" s="33"/>
      <c r="D8" s="34"/>
      <c r="E8" s="35"/>
      <c r="F8" s="36"/>
      <c r="G8" s="36"/>
      <c r="H8" s="36"/>
    </row>
    <row r="9" spans="2:9" x14ac:dyDescent="0.25">
      <c r="B9" s="32"/>
      <c r="C9" s="33"/>
      <c r="D9" s="62" t="s">
        <v>21</v>
      </c>
      <c r="E9" s="63"/>
      <c r="F9" s="36"/>
      <c r="G9" s="36"/>
      <c r="H9" s="36"/>
      <c r="I9" s="52"/>
    </row>
    <row r="10" spans="2:9" x14ac:dyDescent="0.25">
      <c r="B10" s="32"/>
      <c r="C10" s="22">
        <v>3000000</v>
      </c>
      <c r="D10" s="62"/>
      <c r="E10" s="63"/>
      <c r="F10" s="36"/>
      <c r="G10" s="36"/>
      <c r="H10" s="36"/>
    </row>
    <row r="11" spans="2:9" x14ac:dyDescent="0.25">
      <c r="B11" s="32"/>
      <c r="C11" s="37"/>
      <c r="D11" s="62" t="s">
        <v>22</v>
      </c>
      <c r="E11" s="63"/>
      <c r="F11" s="36"/>
      <c r="G11" s="36"/>
      <c r="H11" s="36"/>
    </row>
    <row r="12" spans="2:9" x14ac:dyDescent="0.25">
      <c r="B12" s="32"/>
      <c r="C12" s="33">
        <f>+IF(C21="Yes",(C10*-0.15),0)</f>
        <v>-450000</v>
      </c>
      <c r="D12" s="62"/>
      <c r="E12" s="63"/>
      <c r="F12" s="36"/>
      <c r="G12" s="36"/>
      <c r="H12" s="36"/>
    </row>
    <row r="13" spans="2:9" x14ac:dyDescent="0.25">
      <c r="B13" s="32"/>
      <c r="C13" s="37"/>
      <c r="D13" s="34"/>
      <c r="E13" s="35"/>
      <c r="F13" s="36"/>
      <c r="G13" s="36"/>
      <c r="H13" s="36"/>
    </row>
    <row r="14" spans="2:9" x14ac:dyDescent="0.25">
      <c r="B14" s="32"/>
      <c r="D14" s="34" t="s">
        <v>9</v>
      </c>
      <c r="E14" s="35"/>
      <c r="F14" s="36"/>
      <c r="G14" s="36"/>
      <c r="H14" s="36"/>
    </row>
    <row r="15" spans="2:9" x14ac:dyDescent="0.25">
      <c r="B15" s="32"/>
      <c r="C15" s="22">
        <v>0</v>
      </c>
      <c r="D15" s="34" t="s">
        <v>10</v>
      </c>
      <c r="E15" s="35"/>
      <c r="F15" s="36"/>
      <c r="G15" s="36"/>
      <c r="H15" s="36"/>
    </row>
    <row r="16" spans="2:9" ht="6.75" customHeight="1" x14ac:dyDescent="0.25">
      <c r="B16" s="32"/>
      <c r="C16" s="38"/>
      <c r="D16" s="34"/>
      <c r="E16" s="35"/>
      <c r="F16" s="36"/>
      <c r="G16" s="36"/>
      <c r="H16" s="36"/>
    </row>
    <row r="17" spans="2:10" x14ac:dyDescent="0.25">
      <c r="B17" s="32"/>
      <c r="C17" s="22">
        <v>38000000</v>
      </c>
      <c r="D17" s="34" t="s">
        <v>8</v>
      </c>
      <c r="E17" s="35"/>
      <c r="F17" s="36"/>
      <c r="G17" s="36"/>
      <c r="H17" s="36"/>
    </row>
    <row r="18" spans="2:10" x14ac:dyDescent="0.25">
      <c r="B18" s="32"/>
      <c r="C18" s="22">
        <v>2000000</v>
      </c>
      <c r="D18" s="34" t="s">
        <v>11</v>
      </c>
      <c r="E18" s="35"/>
      <c r="F18" s="36"/>
      <c r="G18" s="36"/>
      <c r="H18" s="36"/>
    </row>
    <row r="19" spans="2:10" x14ac:dyDescent="0.25">
      <c r="B19" s="32"/>
      <c r="C19" s="33"/>
      <c r="D19" s="34"/>
      <c r="E19" s="35"/>
      <c r="F19" s="36"/>
      <c r="G19" s="36"/>
      <c r="H19" s="36"/>
    </row>
    <row r="20" spans="2:10" x14ac:dyDescent="0.25">
      <c r="B20" s="32"/>
      <c r="C20" s="34"/>
      <c r="D20" s="34" t="s">
        <v>3</v>
      </c>
      <c r="E20" s="35"/>
      <c r="F20" s="36"/>
      <c r="G20" s="36"/>
      <c r="H20" s="36"/>
    </row>
    <row r="21" spans="2:10" x14ac:dyDescent="0.25">
      <c r="B21" s="32"/>
      <c r="C21" s="39" t="str">
        <f>+IF((C4-C10*0.15)&gt;1000000,"Yes","No")</f>
        <v>Yes</v>
      </c>
      <c r="D21" s="34" t="s">
        <v>5</v>
      </c>
      <c r="E21" s="35"/>
      <c r="F21" s="36"/>
      <c r="G21" s="36"/>
      <c r="H21" s="36"/>
    </row>
    <row r="22" spans="2:10" x14ac:dyDescent="0.25">
      <c r="B22" s="32"/>
      <c r="C22" s="34"/>
      <c r="D22" s="34"/>
      <c r="E22" s="35"/>
      <c r="F22" s="36"/>
      <c r="G22" s="36"/>
      <c r="H22" s="36"/>
      <c r="J22" s="51"/>
    </row>
    <row r="23" spans="2:10" x14ac:dyDescent="0.25">
      <c r="B23" s="32"/>
      <c r="C23" s="33">
        <f>+IF((C21)="Yes",C4+C5+C12-1000000,0)</f>
        <v>8550000</v>
      </c>
      <c r="D23" s="34" t="s">
        <v>18</v>
      </c>
      <c r="E23" s="35"/>
      <c r="F23" s="36"/>
      <c r="G23" s="36"/>
      <c r="H23" s="36"/>
    </row>
    <row r="24" spans="2:10" x14ac:dyDescent="0.25">
      <c r="B24" s="32"/>
      <c r="C24" s="33">
        <f>+IF(C21="Yes",IF(C17&gt;C18,(((C17+C12)*C7)*-0.35),((C18*C7)*-0.35)),0)</f>
        <v>-1804613.587347232</v>
      </c>
      <c r="D24" s="34" t="s">
        <v>4</v>
      </c>
      <c r="E24" s="35"/>
      <c r="F24" s="36"/>
      <c r="G24" s="36"/>
      <c r="H24" s="36"/>
    </row>
    <row r="25" spans="2:10" x14ac:dyDescent="0.25">
      <c r="B25" s="32"/>
      <c r="C25" s="33">
        <f>+IF(C21="Yes",C15,0)</f>
        <v>0</v>
      </c>
      <c r="D25" s="34" t="s">
        <v>2</v>
      </c>
      <c r="E25" s="35"/>
      <c r="F25" s="36"/>
      <c r="G25" s="36"/>
      <c r="H25" s="36"/>
    </row>
    <row r="26" spans="2:10" ht="15.75" thickBot="1" x14ac:dyDescent="0.3">
      <c r="B26" s="32"/>
      <c r="C26" s="50">
        <f>MAX(C23+C24,(C23)*0.05)+C25</f>
        <v>6745386.4126527682</v>
      </c>
      <c r="D26" s="34" t="s">
        <v>12</v>
      </c>
      <c r="E26" s="35"/>
      <c r="F26" s="36"/>
      <c r="G26" s="36"/>
      <c r="H26" s="36"/>
    </row>
    <row r="27" spans="2:10" ht="15.75" thickTop="1" x14ac:dyDescent="0.25">
      <c r="B27" s="32"/>
      <c r="C27" s="33"/>
      <c r="D27" s="34"/>
      <c r="E27" s="35"/>
      <c r="F27" s="36"/>
      <c r="G27" s="36"/>
      <c r="H27" s="36"/>
    </row>
    <row r="28" spans="2:10" ht="15.75" thickBot="1" x14ac:dyDescent="0.3">
      <c r="B28" s="32"/>
      <c r="C28" s="40">
        <f>IF(C26=0,0,(C26*E28)+250)</f>
        <v>38698.702552120783</v>
      </c>
      <c r="D28" s="34" t="s">
        <v>23</v>
      </c>
      <c r="E28" s="41">
        <v>5.7000000000000002E-3</v>
      </c>
      <c r="F28" s="36"/>
      <c r="G28" s="36"/>
      <c r="H28" s="36"/>
    </row>
    <row r="29" spans="2:10" ht="15.75" thickTop="1" x14ac:dyDescent="0.25">
      <c r="B29" s="32"/>
      <c r="C29" s="37">
        <f>+C28/C4</f>
        <v>3.8698702552120785E-3</v>
      </c>
      <c r="D29" s="34" t="s">
        <v>13</v>
      </c>
      <c r="E29" s="42" t="s">
        <v>1</v>
      </c>
      <c r="F29" s="36"/>
      <c r="G29" s="36"/>
      <c r="H29" s="36"/>
    </row>
    <row r="30" spans="2:10" x14ac:dyDescent="0.25">
      <c r="B30" s="32"/>
      <c r="C30" s="64" t="s">
        <v>27</v>
      </c>
      <c r="D30" s="64"/>
      <c r="E30" s="65"/>
      <c r="F30" s="36"/>
      <c r="G30" s="36"/>
      <c r="H30" s="36"/>
    </row>
    <row r="31" spans="2:10" ht="15.75" thickBot="1" x14ac:dyDescent="0.3">
      <c r="B31" s="43"/>
      <c r="C31" s="44" t="s">
        <v>24</v>
      </c>
      <c r="D31" s="45"/>
      <c r="E31" s="46"/>
    </row>
    <row r="32" spans="2:10" x14ac:dyDescent="0.25">
      <c r="B32" s="36"/>
      <c r="C32" s="38"/>
      <c r="D32" s="36"/>
      <c r="E32" s="36"/>
    </row>
    <row r="33" spans="3:3" x14ac:dyDescent="0.25">
      <c r="C33" s="47"/>
    </row>
    <row r="34" spans="3:3" x14ac:dyDescent="0.25">
      <c r="C34" s="47"/>
    </row>
    <row r="35" spans="3:3" x14ac:dyDescent="0.25">
      <c r="C35" s="47"/>
    </row>
    <row r="36" spans="3:3" x14ac:dyDescent="0.25">
      <c r="C36" s="47"/>
    </row>
    <row r="37" spans="3:3" x14ac:dyDescent="0.25">
      <c r="C37" s="47"/>
    </row>
  </sheetData>
  <mergeCells count="5">
    <mergeCell ref="B2:E2"/>
    <mergeCell ref="D9:E10"/>
    <mergeCell ref="D11:E12"/>
    <mergeCell ref="C30:E30"/>
    <mergeCell ref="B3:E3"/>
  </mergeCells>
  <pageMargins left="0.7" right="0.7" top="0.75" bottom="0.75" header="0.3" footer="0.3"/>
  <pageSetup scale="91" orientation="portrait" horizontalDpi="1200" verticalDpi="1200" r:id="rId1"/>
  <headerFoot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CAT Calculator</vt:lpstr>
      <vt:lpstr>'CAT Calculator'!Print_Area</vt:lpstr>
      <vt:lpstr>Sheet1!Print_Area</vt:lpstr>
    </vt:vector>
  </TitlesOfParts>
  <Company>Aldrich Group, LLP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Emmert</dc:creator>
  <cp:lastModifiedBy>Diana Strassmaier</cp:lastModifiedBy>
  <cp:lastPrinted>2020-02-05T00:16:05Z</cp:lastPrinted>
  <dcterms:created xsi:type="dcterms:W3CDTF">2019-05-01T20:32:50Z</dcterms:created>
  <dcterms:modified xsi:type="dcterms:W3CDTF">2020-02-05T00:16:55Z</dcterms:modified>
</cp:coreProperties>
</file>